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ml01\Documents\1Nová složka\JW\programy\"/>
    </mc:Choice>
  </mc:AlternateContent>
  <bookViews>
    <workbookView xWindow="0" yWindow="0" windowWidth="9090" windowHeight="4140"/>
  </bookViews>
  <sheets>
    <sheet name="Úvod a návod" sheetId="3" r:id="rId1"/>
    <sheet name="Kompresní poměry" sheetId="1" r:id="rId2"/>
    <sheet name="Úhly otevření" sheetId="2" r:id="rId3"/>
    <sheet name="Karburátor" sheetId="6" r:id="rId4"/>
    <sheet name="Výfukový kanál" sheetId="5" r:id="rId5"/>
    <sheet name="Výpočet výfuku" sheetId="4" r:id="rId6"/>
  </sheets>
  <calcPr calcId="152511"/>
</workbook>
</file>

<file path=xl/calcChain.xml><?xml version="1.0" encoding="utf-8"?>
<calcChain xmlns="http://schemas.openxmlformats.org/spreadsheetml/2006/main">
  <c r="B18" i="4" l="1"/>
  <c r="B19" i="4"/>
  <c r="B7" i="5" l="1"/>
  <c r="J7" i="5"/>
  <c r="B5" i="5"/>
  <c r="G5" i="5" s="1"/>
  <c r="J5" i="5" l="1"/>
  <c r="E5" i="5"/>
  <c r="B6" i="5"/>
  <c r="E7" i="5"/>
  <c r="B8" i="6"/>
  <c r="B9" i="6" s="1"/>
  <c r="G6" i="5" l="1"/>
  <c r="E6" i="5"/>
  <c r="B18" i="5"/>
  <c r="B9" i="4"/>
  <c r="B13" i="4"/>
  <c r="B14" i="4"/>
  <c r="B33" i="4"/>
  <c r="B34" i="4"/>
  <c r="B35" i="4"/>
  <c r="B42" i="4"/>
  <c r="B43" i="4"/>
  <c r="B44" i="4"/>
  <c r="J5" i="2"/>
  <c r="J6" i="2"/>
  <c r="J9" i="2"/>
  <c r="H5" i="2"/>
  <c r="H6" i="2" s="1"/>
  <c r="H9" i="2" s="1"/>
  <c r="F5" i="2"/>
  <c r="B20" i="2"/>
  <c r="B22" i="2"/>
  <c r="B26" i="2"/>
  <c r="B27" i="2" s="1"/>
  <c r="B17" i="2" s="1"/>
  <c r="J10" i="2" s="1"/>
  <c r="B21" i="2"/>
  <c r="B6" i="2"/>
  <c r="F6" i="2"/>
  <c r="F9" i="2"/>
  <c r="C22" i="1"/>
  <c r="C23" i="1"/>
  <c r="C15" i="1"/>
  <c r="C9" i="1"/>
  <c r="B24" i="2"/>
  <c r="B25" i="2"/>
  <c r="B16" i="2"/>
  <c r="F10" i="2"/>
  <c r="F12" i="2" s="1"/>
  <c r="B23" i="2"/>
  <c r="B15" i="2" s="1"/>
  <c r="H10" i="2" s="1"/>
  <c r="B51" i="4"/>
  <c r="B59" i="4"/>
  <c r="B20" i="4"/>
  <c r="B53" i="4" s="1"/>
  <c r="B26" i="4"/>
  <c r="B16" i="4"/>
  <c r="B15" i="4"/>
  <c r="B21" i="4"/>
  <c r="B45" i="4" l="1"/>
  <c r="B55" i="4" s="1"/>
  <c r="B36" i="4"/>
  <c r="J12" i="2"/>
  <c r="H12" i="2"/>
  <c r="B57" i="4" l="1"/>
</calcChain>
</file>

<file path=xl/comments1.xml><?xml version="1.0" encoding="utf-8"?>
<comments xmlns="http://schemas.openxmlformats.org/spreadsheetml/2006/main">
  <authors>
    <author>Marek Imlauf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Pokud víte přesnou plochu kanálu, je lepší jí doplnit pro přesnější výpočet. Výpočet z výšky a šířky kanálu je hodně orientační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Imlauf</author>
  </authors>
  <commentList>
    <comment ref="B5" authorId="0" shapeId="0">
      <text>
        <r>
          <rPr>
            <sz val="9"/>
            <color indexed="81"/>
            <rFont val="Tahoma"/>
            <family val="2"/>
            <charset val="238"/>
          </rPr>
          <t xml:space="preserve">Otevření výfukového kanálu ve stupních
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Gordon Jennings </t>
        </r>
        <r>
          <rPr>
            <sz val="9"/>
            <color indexed="81"/>
            <rFont val="Tahoma"/>
            <family val="2"/>
            <charset val="238"/>
          </rPr>
          <t>udává rychlost 1670-1700ft/s, což odpovídá 4242-4318cm/s s tím, že pro výpočet je lepší použít rychlost vyšší a výfuk případně zkrátit</t>
        </r>
        <r>
          <rPr>
            <b/>
            <sz val="9"/>
            <color indexed="81"/>
            <rFont val="Tahoma"/>
            <family val="2"/>
            <charset val="238"/>
          </rPr>
          <t xml:space="preserve">
Graham Bell </t>
        </r>
        <r>
          <rPr>
            <sz val="9"/>
            <color indexed="81"/>
            <rFont val="Tahoma"/>
            <family val="2"/>
            <charset val="238"/>
          </rPr>
          <t>uvádí rychlost 4254,5cm/s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Je vhodné propočítat obě varianty a porovnat.</t>
        </r>
      </text>
    </comment>
    <comment ref="B14" authorId="0" shapeId="0">
      <text>
        <r>
          <rPr>
            <sz val="9"/>
            <color indexed="81"/>
            <rFont val="Tahoma"/>
            <family val="2"/>
            <charset val="238"/>
          </rPr>
          <t xml:space="preserve">Místo výpočtu dle plochy výfukového kanálu lze doplnit přímo průměr vašeho výfukového kolene nebo výstupu z válce, můžete se případně ispirovat průměry dle </t>
        </r>
        <r>
          <rPr>
            <b/>
            <sz val="9"/>
            <color indexed="81"/>
            <rFont val="Tahoma"/>
            <family val="2"/>
            <charset val="238"/>
          </rPr>
          <t>Grahama Bella</t>
        </r>
        <r>
          <rPr>
            <sz val="9"/>
            <color indexed="81"/>
            <rFont val="Tahoma"/>
            <family val="2"/>
            <charset val="238"/>
          </rPr>
          <t xml:space="preserve"> uvedenými v tabulce
</t>
        </r>
      </text>
    </comment>
    <comment ref="B24" authorId="0" shapeId="0">
      <text>
        <r>
          <rPr>
            <sz val="9"/>
            <color indexed="81"/>
            <rFont val="Tahoma"/>
            <family val="2"/>
            <charset val="238"/>
          </rPr>
          <t xml:space="preserve">dle </t>
        </r>
        <r>
          <rPr>
            <b/>
            <sz val="9"/>
            <color indexed="81"/>
            <rFont val="Tahoma"/>
            <family val="2"/>
            <charset val="238"/>
          </rPr>
          <t>Gordon Jennings</t>
        </r>
        <r>
          <rPr>
            <sz val="9"/>
            <color indexed="81"/>
            <rFont val="Tahoma"/>
            <family val="2"/>
            <charset val="238"/>
          </rPr>
          <t xml:space="preserve"> se zadává v rozmezí 6-11
6 - pro max. výkon a úzké pásmo
11  -pro široké pásmo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9"/>
            <color indexed="81"/>
            <rFont val="Tahoma"/>
            <family val="2"/>
            <charset val="238"/>
          </rPr>
          <t xml:space="preserve">
Lze použít hodnoty dle Graham Bell viz. Tabulka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Gordon Jennings </t>
        </r>
        <r>
          <rPr>
            <sz val="9"/>
            <color indexed="81"/>
            <rFont val="Tahoma"/>
            <family val="2"/>
            <charset val="238"/>
          </rPr>
          <t xml:space="preserve">udává, že úhel sklonu předního kuželu měl by se pohybovat v rozmezí 5-10° (plochá křivka - špičkový výkon)
Případně lze využít tabulku dle </t>
        </r>
        <r>
          <rPr>
            <b/>
            <sz val="9"/>
            <color indexed="81"/>
            <rFont val="Tahoma"/>
            <family val="2"/>
            <charset val="238"/>
          </rPr>
          <t>Graham Bell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 xml:space="preserve">dle </t>
        </r>
        <r>
          <rPr>
            <b/>
            <sz val="9"/>
            <color indexed="81"/>
            <rFont val="Tahoma"/>
            <family val="2"/>
            <charset val="238"/>
          </rPr>
          <t>Gordon Jennings</t>
        </r>
        <r>
          <rPr>
            <sz val="9"/>
            <color indexed="81"/>
            <rFont val="Tahoma"/>
            <family val="2"/>
            <charset val="238"/>
          </rPr>
          <t xml:space="preserve"> by úhel druhého kuželu by měl být přibližně dvounásobkem úhlu prvního kuželu, větší pro vyšší výkon a uzké spektrum otáček a opačně. Případně lze použít tabulku dle. </t>
        </r>
        <r>
          <rPr>
            <b/>
            <sz val="9"/>
            <color indexed="81"/>
            <rFont val="Tahoma"/>
            <family val="2"/>
            <charset val="238"/>
          </rPr>
          <t>Graham Bell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  <charset val="238"/>
          </rPr>
          <t>rozmezí 0,57 - 0,62</t>
        </r>
      </text>
    </comment>
  </commentList>
</comments>
</file>

<file path=xl/sharedStrings.xml><?xml version="1.0" encoding="utf-8"?>
<sst xmlns="http://schemas.openxmlformats.org/spreadsheetml/2006/main" count="252" uniqueCount="182">
  <si>
    <t>1:</t>
  </si>
  <si>
    <t>Vrtání:</t>
  </si>
  <si>
    <t>Zdvih:</t>
  </si>
  <si>
    <t>Kompresní poměr =</t>
  </si>
  <si>
    <t>Kompresní poměr :</t>
  </si>
  <si>
    <t>Objem spalovacího prostoru (ml):</t>
  </si>
  <si>
    <t>Objem spalovacího prostoru (ml)=</t>
  </si>
  <si>
    <t>Výpočet efektivního kompresního poměru</t>
  </si>
  <si>
    <t>Výpočet objemu spalovacího prostoru z kompresního poměru</t>
  </si>
  <si>
    <t>Výpočet objemu spalovacího prostoru pro požadovaný efektivní kompresní poměr</t>
  </si>
  <si>
    <t>Geometrický kompresní poměr=</t>
  </si>
  <si>
    <t>Požadovaný efektivní kompresní poměr =</t>
  </si>
  <si>
    <t>Výpočet kompresních poměrů 2T motoru</t>
  </si>
  <si>
    <t>poloměr klikového hřídele:</t>
  </si>
  <si>
    <t>Pomocné výpočty</t>
  </si>
  <si>
    <t>Zadání hodnot:</t>
  </si>
  <si>
    <t>Úhly otevření kanálů:</t>
  </si>
  <si>
    <t>Výpočet úhlů otevření kanálů</t>
  </si>
  <si>
    <t>výška sacího okna:</t>
  </si>
  <si>
    <t>klikový poměr:</t>
  </si>
  <si>
    <t>arccos sání:</t>
  </si>
  <si>
    <t>cos výfuk:</t>
  </si>
  <si>
    <t>arccos výfuk:</t>
  </si>
  <si>
    <t>cos přefuk:</t>
  </si>
  <si>
    <t>arccos přefuk:</t>
  </si>
  <si>
    <t>Délka pístu.</t>
  </si>
  <si>
    <t>Délka ojnice:</t>
  </si>
  <si>
    <t>Dolní hrana sání od HÚ:</t>
  </si>
  <si>
    <t>Horní hrana výfuku od HÚ:</t>
  </si>
  <si>
    <t>Horní hrana přefuku od HÚ:</t>
  </si>
  <si>
    <t>Úhel otevření výfuku:</t>
  </si>
  <si>
    <t>Úhel otevření přefuku:</t>
  </si>
  <si>
    <t>Úhel otevření sání:</t>
  </si>
  <si>
    <t>°</t>
  </si>
  <si>
    <t>www.jawa50rs.wbs.cz</t>
  </si>
  <si>
    <t xml:space="preserve">V tabulkách jsou prioritně nestavené hodnoty pro seriový motor Jawa 50/20. </t>
  </si>
  <si>
    <t>Veškerá vstupní data (podbarvena žlutě) jde doplnit vašimi hodnotami a výstupní data získáte v modrých polích.</t>
  </si>
  <si>
    <t>Vzorce pro úhly otevření kanálů umí (na rozdíl od konkurence) pracovat i s hodnotami přesahujícími úhel otevření větší než 180°  :o)</t>
  </si>
  <si>
    <t>Výpočet hodnot 2T motoru JAWA 50</t>
  </si>
  <si>
    <t>Hodnoty v bílých políčkách jsou pomocné hodnoty pro další výpočty, do těchto polí nezasahujte nebo vám výpočty nebudou vycházet správně!!!</t>
  </si>
  <si>
    <t xml:space="preserve">Tabulky, které vám usnadní život s výpočty při úpravách motoru. </t>
  </si>
  <si>
    <t>Požadované otáčky motoru</t>
  </si>
  <si>
    <t>čas otevření kanálu (T)</t>
  </si>
  <si>
    <t>plocha kanálu korigovaná</t>
  </si>
  <si>
    <t>sec-cm2/cm3</t>
  </si>
  <si>
    <t>Výfuk</t>
  </si>
  <si>
    <t>Objem válce:</t>
  </si>
  <si>
    <t>Přefuky</t>
  </si>
  <si>
    <t>Sání</t>
  </si>
  <si>
    <t>šířka kanálu průměrná</t>
  </si>
  <si>
    <t>výška kanálu</t>
  </si>
  <si>
    <t>plocha kanálu</t>
  </si>
  <si>
    <t>Horní hrana sání od HÚ:</t>
  </si>
  <si>
    <t>Výpočet průtočné plochy kanálů</t>
  </si>
  <si>
    <t xml:space="preserve"> 0.00014 to 0.00016 sec-cm2/cm3</t>
  </si>
  <si>
    <t>0.00008 to 0.00010 sec-cm2/cm3</t>
  </si>
  <si>
    <t>0.00014 to 0.00015 sec-cm2/cm3</t>
  </si>
  <si>
    <t xml:space="preserve">For rotary-disc intake valves,,,,,,,,, </t>
  </si>
  <si>
    <t>0.00018 to 0.00019 sec-cm2/cm3</t>
  </si>
  <si>
    <t>Výfukový kanál - limit</t>
  </si>
  <si>
    <t>Sací kanál - limit pro ovládání pístem</t>
  </si>
  <si>
    <t>Přefukové kanály</t>
  </si>
  <si>
    <t>Pokud znáte přesnou hodnotu pro plochu kanálu tak jí doplňte do příslušných políček, výpočet z průměrné šířky a výšky kanálu není zcela přesný a zkreslí nepatrně výsledné hodnoty!!!</t>
  </si>
  <si>
    <t>Výpočet orientačních hodnot rezonančního výfuku</t>
  </si>
  <si>
    <t>Eo - otevření výfukového kanálu</t>
  </si>
  <si>
    <t>Vs - rychlost zvuku (1670-1700ft/s = 4242-4318cm/s)</t>
  </si>
  <si>
    <t>cm/s</t>
  </si>
  <si>
    <t>N - otáčky</t>
  </si>
  <si>
    <t>ot/min</t>
  </si>
  <si>
    <t>Lt=Eo*Vs/N -základní rezonanční délka</t>
  </si>
  <si>
    <t>mm</t>
  </si>
  <si>
    <t>plocha výf. kanálu</t>
  </si>
  <si>
    <t>mm2</t>
  </si>
  <si>
    <t>průměr výfuku 1 - D1 (10%)</t>
  </si>
  <si>
    <t>→→→→→</t>
  </si>
  <si>
    <t>Průměry dle Graham Bell</t>
  </si>
  <si>
    <t>průměr výfuku 2 - D1x (12%)</t>
  </si>
  <si>
    <t xml:space="preserve">Cylinder size (cc) </t>
  </si>
  <si>
    <t>Port inside diameter (mm)</t>
  </si>
  <si>
    <t>průměr výfuku 2 - D1x (15%)</t>
  </si>
  <si>
    <t>28-30</t>
  </si>
  <si>
    <t>62-80</t>
  </si>
  <si>
    <t>30-32</t>
  </si>
  <si>
    <t>D2=odm(D1*D1*6,25)</t>
  </si>
  <si>
    <t>34-37</t>
  </si>
  <si>
    <t>D2x=odm(D1x*D1x*6,25)</t>
  </si>
  <si>
    <t>37-40</t>
  </si>
  <si>
    <t>průměr tlumiče D2</t>
  </si>
  <si>
    <t>42-46</t>
  </si>
  <si>
    <t>D2x</t>
  </si>
  <si>
    <t>44-48</t>
  </si>
  <si>
    <t>350-500</t>
  </si>
  <si>
    <t>45-50</t>
  </si>
  <si>
    <t xml:space="preserve">koeficient krouticího momentu  6-11 </t>
  </si>
  <si>
    <t>Koeficient točivého momentu dle Graham Bell</t>
  </si>
  <si>
    <t>Silniční moto</t>
  </si>
  <si>
    <t>Enduro &amp; cross moto</t>
  </si>
  <si>
    <t xml:space="preserve">L3 Délka kolene L3=6až11*D1 </t>
  </si>
  <si>
    <t>Cylinder size (cc)</t>
  </si>
  <si>
    <t>single stage</t>
  </si>
  <si>
    <t>multi-stage</t>
  </si>
  <si>
    <t>50-80</t>
  </si>
  <si>
    <t>8.5-9.5</t>
  </si>
  <si>
    <t>9-10</t>
  </si>
  <si>
    <t>10-11</t>
  </si>
  <si>
    <t>100-125</t>
  </si>
  <si>
    <t>7.8-8.5</t>
  </si>
  <si>
    <t>6.5-7.5</t>
  </si>
  <si>
    <t>175-250</t>
  </si>
  <si>
    <t>7.3-8.3</t>
  </si>
  <si>
    <t>8.2-9.2</t>
  </si>
  <si>
    <t>xxx</t>
  </si>
  <si>
    <t>7.5-8.5</t>
  </si>
  <si>
    <t>A1 úhel prvnío kuželu 5-9st (plochá křivka - max výkon)</t>
  </si>
  <si>
    <t>Úhly prvního kuželu Graham Bell</t>
  </si>
  <si>
    <t>radA1</t>
  </si>
  <si>
    <t>Road race</t>
  </si>
  <si>
    <t>Motocross &amp; Enduro</t>
  </si>
  <si>
    <t>tgn A1</t>
  </si>
  <si>
    <t xml:space="preserve">Cylinder size (cc)  </t>
  </si>
  <si>
    <t xml:space="preserve">single stage    </t>
  </si>
  <si>
    <t>two stage</t>
  </si>
  <si>
    <t>three stage</t>
  </si>
  <si>
    <t>cotagn A1</t>
  </si>
  <si>
    <t>6.5 to 7</t>
  </si>
  <si>
    <t>4.5 &amp; 7</t>
  </si>
  <si>
    <t>4&amp;6&amp;9</t>
  </si>
  <si>
    <t>3 to 3.5</t>
  </si>
  <si>
    <t>3&amp;5</t>
  </si>
  <si>
    <t>L4 Délka 1.kuželu L4=((D2-D1)/2*cotg A1</t>
  </si>
  <si>
    <t>6.5 to 7.5</t>
  </si>
  <si>
    <t>4.5 &amp; 7.5</t>
  </si>
  <si>
    <t>4.5&amp;7&amp;9</t>
  </si>
  <si>
    <t>4 to 4.8</t>
  </si>
  <si>
    <t>3.3 &amp; 6</t>
  </si>
  <si>
    <t>4.5 &amp; 7 &amp; 10</t>
  </si>
  <si>
    <t>3.5 to 4,5</t>
  </si>
  <si>
    <t>3.5 &amp; 6</t>
  </si>
  <si>
    <t>7 to 7.5</t>
  </si>
  <si>
    <t>4.5 &amp; 7&amp; 10</t>
  </si>
  <si>
    <t>4 to 4.5</t>
  </si>
  <si>
    <t>4&amp;7</t>
  </si>
  <si>
    <t>4 to 5</t>
  </si>
  <si>
    <t xml:space="preserve">A2 úhel druhého kuželu </t>
  </si>
  <si>
    <t>Úhel druhého kuželu Graham Bell</t>
  </si>
  <si>
    <t>rad A2</t>
  </si>
  <si>
    <t>tgn A2</t>
  </si>
  <si>
    <t>10,5-12</t>
  </si>
  <si>
    <t>cotgn A2</t>
  </si>
  <si>
    <t>L2 délka druhého kuželu celková</t>
  </si>
  <si>
    <t>9,5-12</t>
  </si>
  <si>
    <t>8,5-10</t>
  </si>
  <si>
    <t>10-12</t>
  </si>
  <si>
    <t>8-10</t>
  </si>
  <si>
    <t>7,5-10</t>
  </si>
  <si>
    <t>9-11</t>
  </si>
  <si>
    <t>koeficient</t>
  </si>
  <si>
    <t>D3 Průměr výletové trubice  D3 = D1 x (0.57 to 0.62)</t>
  </si>
  <si>
    <t>L6 délka zadního kuželu skutečná</t>
  </si>
  <si>
    <t>L1=Lt-(L2/2)</t>
  </si>
  <si>
    <t>L5 délka středové části L5=L1-(L3+L4)</t>
  </si>
  <si>
    <t>L7 délka výletovky L7=D3*12</t>
  </si>
  <si>
    <t>průměr čepu</t>
  </si>
  <si>
    <t>max. šířka V kanálu</t>
  </si>
  <si>
    <t>Otáčky motoru:</t>
  </si>
  <si>
    <t>Obsah motoru:</t>
  </si>
  <si>
    <t>Koeficient:</t>
  </si>
  <si>
    <t>Koeficient pro silniční motory by se měl pohybovat v rozsahu 0,8-0,9, pro enduro a motocross 0,65-0,9.</t>
  </si>
  <si>
    <t>Průměr difuzoru:</t>
  </si>
  <si>
    <t>Maximální celková šířka výfukového kanálu, aby nedošlo k propojení přefuků a výfuku  přez otvor pro pístní čep.</t>
  </si>
  <si>
    <t>Optimal</t>
  </si>
  <si>
    <t>Race</t>
  </si>
  <si>
    <t>Výpočet difuzoru karburátoru</t>
  </si>
  <si>
    <t>Extreme Race</t>
  </si>
  <si>
    <t>až</t>
  </si>
  <si>
    <t>Min. poloměr rohů okna:</t>
  </si>
  <si>
    <t>Tato maximální šířka platí pro dělené kanály, nebo kanál s pomocnými okny. Při překročení této šířky dojde k propojení výfukového a přepouštěcích kanálů přes otvor pro pístní čep.</t>
  </si>
  <si>
    <t>Výpočet šířky výfukového kanálu</t>
  </si>
  <si>
    <t>Vrtání</t>
  </si>
  <si>
    <t>Doporučený rádius horní a dolní hrany:</t>
  </si>
  <si>
    <t>Pro rozšíření optimal lze použít standardní litinové kroužky, pro rozšíření Race je doporučeno použít kroužky ocelové nebo z tvárné litiny. Pro rozšíření Extreme je použítí ocelových kroužku bezpodmínečně nutné!!!</t>
  </si>
  <si>
    <t>Výpočet je proveden dle podkladů z knihy Gordona Jennigse. V tabulkách po pravé straně jsou  uvedeny hodnoty, které uvádí jako doporučené Garaham Bell. Je vidět, že hodnoty se někde více či méně odlišují. Z tohoto faktu je zřejmé, že výpočty jsou pouze orientační a nelze na nich stavět. Z vlastních zkušeností mohu říci, že pro naše Pionýry  jsou bližší realitě hodnoty udávané dle Grahama Bella.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</si>
</sst>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0.0"/>
  </numFmts>
  <fonts count="25" x14ac:knownFonts="1">
    <font>
      <sz val="11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6"/>
      <color indexed="8"/>
      <name val="Calibri"/>
      <family val="2"/>
      <charset val="238"/>
    </font>
    <font>
      <b/>
      <u/>
      <sz val="2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u/>
      <sz val="2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u/>
      <sz val="16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9"/>
      <color indexed="8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gradientFill degree="45">
        <stop position="0">
          <color rgb="FFFFFF00"/>
        </stop>
        <stop position="1">
          <color theme="4"/>
        </stop>
      </gradientFill>
    </fill>
    <fill>
      <patternFill patternType="solid">
        <fgColor rgb="FFB0C3E6"/>
        <bgColor indexed="64"/>
      </patternFill>
    </fill>
    <fill>
      <patternFill patternType="solid">
        <fgColor rgb="FFB0C3E6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0" xfId="0" applyFont="1" applyFill="1" applyAlignment="1">
      <alignment horizontal="left"/>
    </xf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3" borderId="0" xfId="0" applyFont="1" applyFill="1" applyAlignment="1">
      <alignment horizontal="right"/>
    </xf>
    <xf numFmtId="2" fontId="1" fillId="3" borderId="0" xfId="0" applyNumberFormat="1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2" borderId="0" xfId="0" applyFont="1" applyFill="1"/>
    <xf numFmtId="0" fontId="6" fillId="0" borderId="0" xfId="0" applyFont="1" applyFill="1"/>
    <xf numFmtId="0" fontId="6" fillId="0" borderId="0" xfId="0" applyFont="1" applyAlignment="1">
      <alignment horizontal="right"/>
    </xf>
    <xf numFmtId="0" fontId="20" fillId="0" borderId="0" xfId="1" applyAlignment="1">
      <alignment horizontal="right"/>
    </xf>
    <xf numFmtId="0" fontId="0" fillId="3" borderId="0" xfId="0" applyFill="1"/>
    <xf numFmtId="0" fontId="0" fillId="2" borderId="0" xfId="0" applyFill="1"/>
    <xf numFmtId="0" fontId="20" fillId="2" borderId="0" xfId="1" applyFill="1" applyAlignment="1">
      <alignment horizontal="right"/>
    </xf>
    <xf numFmtId="0" fontId="1" fillId="2" borderId="0" xfId="0" applyFont="1" applyFill="1"/>
    <xf numFmtId="0" fontId="8" fillId="3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1" fillId="2" borderId="0" xfId="0" applyFont="1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1" fillId="0" borderId="0" xfId="0" applyFont="1"/>
    <xf numFmtId="164" fontId="3" fillId="0" borderId="0" xfId="0" applyNumberFormat="1" applyFont="1" applyFill="1"/>
    <xf numFmtId="164" fontId="3" fillId="0" borderId="1" xfId="0" applyNumberFormat="1" applyFont="1" applyFill="1" applyBorder="1"/>
    <xf numFmtId="164" fontId="3" fillId="0" borderId="0" xfId="0" applyNumberFormat="1" applyFont="1" applyFill="1" applyBorder="1"/>
    <xf numFmtId="0" fontId="9" fillId="4" borderId="0" xfId="0" applyFont="1" applyFill="1"/>
    <xf numFmtId="0" fontId="12" fillId="5" borderId="0" xfId="0" applyFont="1" applyFill="1"/>
    <xf numFmtId="0" fontId="13" fillId="0" borderId="0" xfId="0" applyFont="1"/>
    <xf numFmtId="0" fontId="14" fillId="0" borderId="0" xfId="0" applyFont="1"/>
    <xf numFmtId="2" fontId="12" fillId="5" borderId="0" xfId="0" applyNumberFormat="1" applyFont="1" applyFill="1"/>
    <xf numFmtId="2" fontId="0" fillId="0" borderId="0" xfId="0" applyNumberFormat="1"/>
    <xf numFmtId="0" fontId="13" fillId="6" borderId="0" xfId="0" applyFont="1" applyFill="1"/>
    <xf numFmtId="2" fontId="13" fillId="6" borderId="0" xfId="0" applyNumberFormat="1" applyFont="1" applyFill="1"/>
    <xf numFmtId="0" fontId="21" fillId="0" borderId="0" xfId="0" applyFont="1"/>
    <xf numFmtId="0" fontId="15" fillId="0" borderId="0" xfId="0" applyFont="1"/>
    <xf numFmtId="0" fontId="16" fillId="0" borderId="0" xfId="0" applyFont="1"/>
    <xf numFmtId="0" fontId="15" fillId="0" borderId="2" xfId="0" applyFont="1" applyBorder="1"/>
    <xf numFmtId="0" fontId="0" fillId="0" borderId="3" xfId="0" applyBorder="1" applyAlignment="1">
      <alignment horizontal="left"/>
    </xf>
    <xf numFmtId="0" fontId="16" fillId="0" borderId="4" xfId="0" applyFont="1" applyBorder="1" applyAlignment="1"/>
    <xf numFmtId="0" fontId="0" fillId="0" borderId="5" xfId="0" applyBorder="1" applyAlignment="1"/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/>
    <xf numFmtId="0" fontId="15" fillId="0" borderId="14" xfId="0" applyFont="1" applyBorder="1"/>
    <xf numFmtId="0" fontId="15" fillId="0" borderId="15" xfId="0" applyFont="1" applyBorder="1"/>
    <xf numFmtId="0" fontId="15" fillId="0" borderId="16" xfId="0" applyFont="1" applyBorder="1"/>
    <xf numFmtId="0" fontId="15" fillId="0" borderId="17" xfId="0" applyFont="1" applyBorder="1"/>
    <xf numFmtId="0" fontId="12" fillId="0" borderId="18" xfId="0" applyFont="1" applyBorder="1"/>
    <xf numFmtId="0" fontId="0" fillId="0" borderId="6" xfId="0" applyBorder="1"/>
    <xf numFmtId="49" fontId="16" fillId="0" borderId="19" xfId="0" applyNumberFormat="1" applyFont="1" applyBorder="1"/>
    <xf numFmtId="0" fontId="0" fillId="0" borderId="20" xfId="0" applyBorder="1"/>
    <xf numFmtId="0" fontId="12" fillId="0" borderId="21" xfId="0" applyFont="1" applyBorder="1"/>
    <xf numFmtId="0" fontId="0" fillId="0" borderId="8" xfId="0" applyBorder="1"/>
    <xf numFmtId="0" fontId="0" fillId="0" borderId="22" xfId="0" applyBorder="1"/>
    <xf numFmtId="0" fontId="0" fillId="0" borderId="23" xfId="0" applyBorder="1"/>
    <xf numFmtId="49" fontId="16" fillId="0" borderId="22" xfId="0" applyNumberFormat="1" applyFont="1" applyBorder="1"/>
    <xf numFmtId="0" fontId="12" fillId="0" borderId="24" xfId="0" applyFont="1" applyBorder="1"/>
    <xf numFmtId="0" fontId="16" fillId="0" borderId="11" xfId="0" applyFont="1" applyBorder="1"/>
    <xf numFmtId="0" fontId="16" fillId="0" borderId="25" xfId="0" applyFont="1" applyBorder="1"/>
    <xf numFmtId="0" fontId="0" fillId="0" borderId="25" xfId="0" applyBorder="1"/>
    <xf numFmtId="0" fontId="0" fillId="0" borderId="26" xfId="0" applyBorder="1"/>
    <xf numFmtId="0" fontId="16" fillId="5" borderId="0" xfId="0" applyFont="1" applyFill="1"/>
    <xf numFmtId="0" fontId="15" fillId="0" borderId="0" xfId="0" applyFont="1" applyFill="1" applyBorder="1"/>
    <xf numFmtId="0" fontId="0" fillId="0" borderId="15" xfId="0" applyBorder="1"/>
    <xf numFmtId="0" fontId="15" fillId="0" borderId="27" xfId="0" applyFont="1" applyBorder="1"/>
    <xf numFmtId="0" fontId="0" fillId="0" borderId="28" xfId="0" applyBorder="1" applyAlignment="1">
      <alignment horizontal="left"/>
    </xf>
    <xf numFmtId="0" fontId="0" fillId="0" borderId="29" xfId="0" applyBorder="1"/>
    <xf numFmtId="0" fontId="0" fillId="0" borderId="19" xfId="0" applyBorder="1"/>
    <xf numFmtId="0" fontId="16" fillId="0" borderId="19" xfId="0" applyFont="1" applyBorder="1"/>
    <xf numFmtId="0" fontId="0" fillId="0" borderId="30" xfId="0" applyBorder="1" applyAlignment="1">
      <alignment horizontal="left"/>
    </xf>
    <xf numFmtId="0" fontId="0" fillId="0" borderId="31" xfId="0" applyBorder="1"/>
    <xf numFmtId="0" fontId="16" fillId="0" borderId="22" xfId="0" applyFont="1" applyBorder="1"/>
    <xf numFmtId="0" fontId="0" fillId="0" borderId="32" xfId="0" applyBorder="1" applyAlignment="1">
      <alignment horizontal="left"/>
    </xf>
    <xf numFmtId="0" fontId="16" fillId="0" borderId="33" xfId="0" applyFont="1" applyBorder="1"/>
    <xf numFmtId="0" fontId="15" fillId="0" borderId="34" xfId="0" applyFont="1" applyBorder="1"/>
    <xf numFmtId="0" fontId="0" fillId="0" borderId="35" xfId="0" applyBorder="1" applyAlignment="1">
      <alignment horizontal="left"/>
    </xf>
    <xf numFmtId="49" fontId="16" fillId="0" borderId="3" xfId="0" applyNumberFormat="1" applyFont="1" applyBorder="1" applyAlignment="1">
      <alignment horizontal="left"/>
    </xf>
    <xf numFmtId="49" fontId="16" fillId="0" borderId="8" xfId="0" applyNumberFormat="1" applyFont="1" applyBorder="1" applyAlignment="1">
      <alignment horizontal="left"/>
    </xf>
    <xf numFmtId="0" fontId="13" fillId="0" borderId="0" xfId="0" applyFont="1" applyFill="1"/>
    <xf numFmtId="49" fontId="0" fillId="0" borderId="11" xfId="0" applyNumberFormat="1" applyBorder="1" applyAlignment="1">
      <alignment horizontal="left"/>
    </xf>
    <xf numFmtId="0" fontId="13" fillId="7" borderId="0" xfId="0" applyFont="1" applyFill="1"/>
    <xf numFmtId="2" fontId="13" fillId="7" borderId="0" xfId="0" applyNumberFormat="1" applyFont="1" applyFill="1"/>
    <xf numFmtId="0" fontId="13" fillId="8" borderId="0" xfId="0" applyFont="1" applyFill="1"/>
    <xf numFmtId="0" fontId="7" fillId="8" borderId="0" xfId="0" applyFont="1" applyFill="1" applyAlignment="1">
      <alignment horizontal="right"/>
    </xf>
    <xf numFmtId="2" fontId="7" fillId="9" borderId="0" xfId="0" applyNumberFormat="1" applyFont="1" applyFill="1"/>
    <xf numFmtId="0" fontId="7" fillId="8" borderId="0" xfId="0" applyFont="1" applyFill="1" applyAlignment="1">
      <alignment horizontal="left"/>
    </xf>
    <xf numFmtId="2" fontId="7" fillId="8" borderId="0" xfId="0" applyNumberFormat="1" applyFont="1" applyFill="1"/>
    <xf numFmtId="164" fontId="3" fillId="8" borderId="0" xfId="0" applyNumberFormat="1" applyFont="1" applyFill="1"/>
    <xf numFmtId="0" fontId="6" fillId="7" borderId="0" xfId="0" applyFont="1" applyFill="1"/>
    <xf numFmtId="0" fontId="2" fillId="8" borderId="0" xfId="0" applyFont="1" applyFill="1" applyAlignment="1">
      <alignment horizontal="right"/>
    </xf>
    <xf numFmtId="49" fontId="2" fillId="8" borderId="0" xfId="0" applyNumberFormat="1" applyFont="1" applyFill="1" applyAlignment="1">
      <alignment horizontal="right"/>
    </xf>
    <xf numFmtId="2" fontId="2" fillId="8" borderId="0" xfId="0" applyNumberFormat="1" applyFont="1" applyFill="1" applyAlignment="1">
      <alignment horizontal="left"/>
    </xf>
    <xf numFmtId="20" fontId="2" fillId="8" borderId="0" xfId="0" applyNumberFormat="1" applyFont="1" applyFill="1" applyAlignment="1">
      <alignment horizontal="right"/>
    </xf>
    <xf numFmtId="1" fontId="2" fillId="8" borderId="0" xfId="0" applyNumberFormat="1" applyFont="1" applyFill="1" applyAlignment="1">
      <alignment horizontal="left"/>
    </xf>
    <xf numFmtId="0" fontId="22" fillId="0" borderId="0" xfId="0" applyFont="1"/>
    <xf numFmtId="0" fontId="22" fillId="5" borderId="0" xfId="0" applyFont="1" applyFill="1"/>
    <xf numFmtId="165" fontId="22" fillId="0" borderId="0" xfId="0" applyNumberFormat="1" applyFont="1"/>
    <xf numFmtId="165" fontId="22" fillId="0" borderId="0" xfId="0" applyNumberFormat="1" applyFont="1" applyFill="1"/>
    <xf numFmtId="0" fontId="0" fillId="10" borderId="0" xfId="0" applyFill="1"/>
    <xf numFmtId="0" fontId="22" fillId="0" borderId="0" xfId="0" applyFont="1" applyFill="1"/>
    <xf numFmtId="2" fontId="6" fillId="7" borderId="0" xfId="0" applyNumberFormat="1" applyFont="1" applyFill="1"/>
    <xf numFmtId="0" fontId="0" fillId="0" borderId="0" xfId="0" applyFill="1"/>
    <xf numFmtId="165" fontId="22" fillId="11" borderId="0" xfId="0" applyNumberFormat="1" applyFont="1" applyFill="1"/>
    <xf numFmtId="0" fontId="22" fillId="11" borderId="0" xfId="0" applyFont="1" applyFill="1" applyAlignment="1">
      <alignment horizontal="center"/>
    </xf>
    <xf numFmtId="2" fontId="22" fillId="11" borderId="0" xfId="0" applyNumberFormat="1" applyFont="1" applyFill="1"/>
    <xf numFmtId="0" fontId="22" fillId="11" borderId="0" xfId="0" applyFont="1" applyFill="1"/>
    <xf numFmtId="0" fontId="23" fillId="0" borderId="0" xfId="0" applyFont="1"/>
    <xf numFmtId="0" fontId="0" fillId="12" borderId="0" xfId="0" applyFill="1"/>
    <xf numFmtId="0" fontId="0" fillId="0" borderId="0" xfId="0" applyFont="1" applyFill="1"/>
    <xf numFmtId="0" fontId="0" fillId="12" borderId="0" xfId="0" applyFont="1" applyFill="1"/>
    <xf numFmtId="2" fontId="22" fillId="13" borderId="0" xfId="0" applyNumberFormat="1" applyFont="1" applyFill="1"/>
    <xf numFmtId="165" fontId="22" fillId="14" borderId="0" xfId="0" applyNumberFormat="1" applyFont="1" applyFill="1"/>
    <xf numFmtId="0" fontId="9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15" fillId="0" borderId="36" xfId="0" applyFont="1" applyBorder="1" applyAlignment="1"/>
    <xf numFmtId="0" fontId="15" fillId="0" borderId="37" xfId="0" applyFont="1" applyBorder="1" applyAlignment="1"/>
    <xf numFmtId="0" fontId="15" fillId="0" borderId="15" xfId="0" applyFont="1" applyBorder="1" applyAlignment="1"/>
    <xf numFmtId="0" fontId="15" fillId="0" borderId="27" xfId="0" applyFont="1" applyBorder="1" applyAlignment="1"/>
    <xf numFmtId="0" fontId="15" fillId="0" borderId="38" xfId="0" applyFont="1" applyBorder="1" applyAlignment="1"/>
    <xf numFmtId="49" fontId="16" fillId="0" borderId="9" xfId="0" applyNumberFormat="1" applyFont="1" applyBorder="1" applyAlignment="1">
      <alignment horizontal="left"/>
    </xf>
    <xf numFmtId="49" fontId="16" fillId="0" borderId="10" xfId="0" applyNumberFormat="1" applyFont="1" applyBorder="1" applyAlignment="1">
      <alignment horizontal="left"/>
    </xf>
    <xf numFmtId="49" fontId="16" fillId="0" borderId="12" xfId="0" applyNumberFormat="1" applyFont="1" applyBorder="1" applyAlignment="1">
      <alignment horizontal="left"/>
    </xf>
    <xf numFmtId="49" fontId="16" fillId="0" borderId="13" xfId="0" applyNumberFormat="1" applyFont="1" applyBorder="1" applyAlignment="1">
      <alignment horizontal="left"/>
    </xf>
    <xf numFmtId="49" fontId="0" fillId="0" borderId="39" xfId="0" applyNumberForma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24" fillId="0" borderId="0" xfId="1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wa50rs.wbs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jawa50rs.wbs.cz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jawa50rs.wbs.cz/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D27" sqref="D27"/>
    </sheetView>
  </sheetViews>
  <sheetFormatPr defaultRowHeight="15" x14ac:dyDescent="0.25"/>
  <sheetData>
    <row r="1" spans="1:9" ht="29.25" customHeight="1" x14ac:dyDescent="0.5">
      <c r="A1" s="25" t="s">
        <v>38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6"/>
      <c r="B2" s="22"/>
      <c r="C2" s="23" t="s">
        <v>34</v>
      </c>
      <c r="D2" s="22"/>
      <c r="E2" s="22"/>
      <c r="F2" s="22"/>
      <c r="G2" s="22"/>
      <c r="H2" s="22"/>
      <c r="I2" s="22"/>
    </row>
    <row r="3" spans="1:9" ht="18.75" x14ac:dyDescent="0.3">
      <c r="A3" s="27" t="s">
        <v>40</v>
      </c>
      <c r="B3" s="24"/>
      <c r="C3" s="24"/>
      <c r="D3" s="24"/>
      <c r="E3" s="24"/>
      <c r="F3" s="24"/>
      <c r="G3" s="24"/>
      <c r="H3" s="22"/>
      <c r="I3" s="22"/>
    </row>
    <row r="4" spans="1:9" x14ac:dyDescent="0.25">
      <c r="A4" s="28"/>
    </row>
    <row r="5" spans="1:9" ht="18.75" x14ac:dyDescent="0.3">
      <c r="A5" s="29" t="s">
        <v>35</v>
      </c>
    </row>
    <row r="6" spans="1:9" ht="18.75" x14ac:dyDescent="0.3">
      <c r="A6" s="29" t="s">
        <v>36</v>
      </c>
    </row>
    <row r="7" spans="1:9" ht="18.75" x14ac:dyDescent="0.3">
      <c r="A7" s="29" t="s">
        <v>37</v>
      </c>
    </row>
    <row r="8" spans="1:9" ht="18.75" x14ac:dyDescent="0.3">
      <c r="A8" s="29" t="s">
        <v>39</v>
      </c>
    </row>
  </sheetData>
  <sheetProtection sheet="1" objects="1" scenarios="1"/>
  <phoneticPr fontId="10" type="noConversion"/>
  <hyperlinks>
    <hyperlink ref="C2" r:id="rId1"/>
  </hyperlinks>
  <pageMargins left="0.7" right="0.7" top="0.78740157499999996" bottom="0.78740157499999996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7" workbookViewId="0">
      <selection activeCell="E27" sqref="E27"/>
    </sheetView>
  </sheetViews>
  <sheetFormatPr defaultRowHeight="15" x14ac:dyDescent="0.25"/>
  <cols>
    <col min="1" max="1" width="48.42578125" style="1" customWidth="1"/>
    <col min="2" max="2" width="4.85546875" style="1" customWidth="1"/>
    <col min="3" max="3" width="9.140625" style="2"/>
  </cols>
  <sheetData>
    <row r="1" spans="1:5" ht="30" customHeight="1" x14ac:dyDescent="0.5">
      <c r="A1" s="9" t="s">
        <v>12</v>
      </c>
    </row>
    <row r="2" spans="1:5" x14ac:dyDescent="0.25">
      <c r="A2" s="20" t="s">
        <v>34</v>
      </c>
    </row>
    <row r="4" spans="1:5" ht="21" x14ac:dyDescent="0.35">
      <c r="A4" s="8" t="s">
        <v>7</v>
      </c>
      <c r="B4" s="3"/>
      <c r="C4" s="4"/>
      <c r="D4" s="5"/>
      <c r="E4" s="5"/>
    </row>
    <row r="5" spans="1:5" ht="18.75" x14ac:dyDescent="0.3">
      <c r="A5" s="3" t="s">
        <v>1</v>
      </c>
      <c r="B5" s="3"/>
      <c r="C5" s="6">
        <v>38</v>
      </c>
      <c r="D5" s="5"/>
      <c r="E5" s="5"/>
    </row>
    <row r="6" spans="1:5" ht="18.75" x14ac:dyDescent="0.3">
      <c r="A6" s="3" t="s">
        <v>2</v>
      </c>
      <c r="B6" s="3"/>
      <c r="C6" s="6">
        <v>44</v>
      </c>
      <c r="D6" s="5"/>
      <c r="E6" s="5"/>
    </row>
    <row r="7" spans="1:5" ht="18.75" x14ac:dyDescent="0.3">
      <c r="A7" s="3" t="s">
        <v>28</v>
      </c>
      <c r="B7" s="3"/>
      <c r="C7" s="6">
        <v>29.5</v>
      </c>
      <c r="D7" s="5"/>
      <c r="E7" s="5"/>
    </row>
    <row r="8" spans="1:5" ht="18.75" x14ac:dyDescent="0.3">
      <c r="A8" s="3" t="s">
        <v>5</v>
      </c>
      <c r="B8" s="3"/>
      <c r="C8" s="6">
        <v>6085</v>
      </c>
      <c r="D8" s="5"/>
      <c r="E8" s="5"/>
    </row>
    <row r="9" spans="1:5" ht="18.75" x14ac:dyDescent="0.3">
      <c r="A9" s="104" t="s">
        <v>3</v>
      </c>
      <c r="B9" s="105" t="s">
        <v>0</v>
      </c>
      <c r="C9" s="106">
        <f>((PI()*C5*C5/4)*C6*(1-((C6-C7)/C6))+C8)/C8</f>
        <v>6.4981743573384545</v>
      </c>
      <c r="D9" s="5"/>
      <c r="E9" s="5"/>
    </row>
    <row r="10" spans="1:5" ht="18.75" x14ac:dyDescent="0.3">
      <c r="A10" s="3"/>
      <c r="B10" s="3"/>
      <c r="C10" s="4"/>
      <c r="D10" s="5"/>
      <c r="E10" s="5"/>
    </row>
    <row r="11" spans="1:5" ht="21" x14ac:dyDescent="0.35">
      <c r="A11" s="8" t="s">
        <v>8</v>
      </c>
      <c r="B11" s="3"/>
      <c r="C11" s="4"/>
      <c r="D11" s="5"/>
      <c r="E11" s="5"/>
    </row>
    <row r="12" spans="1:5" ht="18.75" x14ac:dyDescent="0.3">
      <c r="A12" s="3" t="s">
        <v>1</v>
      </c>
      <c r="B12" s="3"/>
      <c r="C12" s="6">
        <v>38</v>
      </c>
      <c r="D12" s="5"/>
      <c r="E12" s="5"/>
    </row>
    <row r="13" spans="1:5" ht="18.75" x14ac:dyDescent="0.3">
      <c r="A13" s="3" t="s">
        <v>2</v>
      </c>
      <c r="B13" s="3"/>
      <c r="C13" s="6">
        <v>44</v>
      </c>
      <c r="D13" s="5"/>
      <c r="E13" s="5"/>
    </row>
    <row r="14" spans="1:5" ht="18.75" x14ac:dyDescent="0.3">
      <c r="A14" s="3" t="s">
        <v>4</v>
      </c>
      <c r="B14" s="7" t="s">
        <v>0</v>
      </c>
      <c r="C14" s="6">
        <v>9.1999999999999993</v>
      </c>
      <c r="D14" s="5"/>
      <c r="E14" s="5"/>
    </row>
    <row r="15" spans="1:5" ht="18.75" x14ac:dyDescent="0.3">
      <c r="A15" s="104" t="s">
        <v>6</v>
      </c>
      <c r="B15" s="107"/>
      <c r="C15" s="108">
        <f>(PI()*C12*C12/4*C13)/(C14-1)</f>
        <v>6085.4948426366191</v>
      </c>
      <c r="D15" s="5"/>
      <c r="E15" s="5"/>
    </row>
    <row r="16" spans="1:5" ht="18.75" x14ac:dyDescent="0.3">
      <c r="A16" s="3"/>
      <c r="B16" s="3"/>
      <c r="C16" s="4"/>
      <c r="D16" s="5"/>
      <c r="E16" s="5"/>
    </row>
    <row r="17" spans="1:5" ht="21" x14ac:dyDescent="0.35">
      <c r="A17" s="8" t="s">
        <v>9</v>
      </c>
      <c r="B17" s="3"/>
      <c r="C17" s="4"/>
      <c r="D17" s="5"/>
      <c r="E17" s="5"/>
    </row>
    <row r="18" spans="1:5" ht="18.75" x14ac:dyDescent="0.3">
      <c r="A18" s="3" t="s">
        <v>1</v>
      </c>
      <c r="B18" s="3"/>
      <c r="C18" s="6">
        <v>38</v>
      </c>
      <c r="D18" s="5"/>
      <c r="E18" s="5"/>
    </row>
    <row r="19" spans="1:5" ht="18.75" x14ac:dyDescent="0.3">
      <c r="A19" s="3" t="s">
        <v>2</v>
      </c>
      <c r="B19" s="3"/>
      <c r="C19" s="6">
        <v>44</v>
      </c>
      <c r="D19" s="5"/>
      <c r="E19" s="5"/>
    </row>
    <row r="20" spans="1:5" ht="18.75" x14ac:dyDescent="0.3">
      <c r="A20" s="3" t="s">
        <v>28</v>
      </c>
      <c r="B20" s="3"/>
      <c r="C20" s="6">
        <v>29.5</v>
      </c>
      <c r="D20" s="5"/>
      <c r="E20" s="5"/>
    </row>
    <row r="21" spans="1:5" ht="18.75" x14ac:dyDescent="0.3">
      <c r="A21" s="3" t="s">
        <v>11</v>
      </c>
      <c r="B21" s="7" t="s">
        <v>0</v>
      </c>
      <c r="C21" s="6">
        <v>6.5</v>
      </c>
      <c r="D21" s="5"/>
      <c r="E21" s="5"/>
    </row>
    <row r="22" spans="1:5" ht="18.75" x14ac:dyDescent="0.3">
      <c r="A22" s="104" t="s">
        <v>5</v>
      </c>
      <c r="B22" s="104"/>
      <c r="C22" s="108">
        <f>(PI()*C18*C18/4*C19*(1-((C19-C20)/C19)))/(C21-1)+F25</f>
        <v>6082.9801753462725</v>
      </c>
      <c r="D22" s="5"/>
      <c r="E22" s="5"/>
    </row>
    <row r="23" spans="1:5" ht="18.75" x14ac:dyDescent="0.3">
      <c r="A23" s="10" t="s">
        <v>10</v>
      </c>
      <c r="B23" s="10"/>
      <c r="C23" s="11">
        <f>((PI()*C18*C18/4*C19)+C22)/C22</f>
        <v>9.203389830508474</v>
      </c>
      <c r="D23" s="5"/>
      <c r="E23" s="5"/>
    </row>
  </sheetData>
  <sheetProtection selectLockedCells="1"/>
  <phoneticPr fontId="10" type="noConversion"/>
  <hyperlinks>
    <hyperlink ref="A2" r:id="rId1"/>
  </hyperlinks>
  <pageMargins left="0.7" right="0.7" top="0.78740157499999996" bottom="0.78740157499999996" header="0.3" footer="0.3"/>
  <pageSetup paperSize="9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opLeftCell="A10" workbookViewId="0">
      <selection activeCell="F8" sqref="F8"/>
    </sheetView>
  </sheetViews>
  <sheetFormatPr defaultRowHeight="15" x14ac:dyDescent="0.25"/>
  <cols>
    <col min="1" max="1" width="35.85546875" customWidth="1"/>
    <col min="2" max="2" width="21" customWidth="1"/>
    <col min="3" max="3" width="1.7109375" style="2" customWidth="1"/>
    <col min="5" max="5" width="36.42578125" customWidth="1"/>
    <col min="6" max="6" width="16.7109375" customWidth="1"/>
    <col min="7" max="7" width="4" customWidth="1"/>
    <col min="8" max="8" width="16.7109375" customWidth="1"/>
    <col min="9" max="9" width="4" customWidth="1"/>
    <col min="10" max="10" width="16.7109375" customWidth="1"/>
  </cols>
  <sheetData>
    <row r="1" spans="1:10" ht="31.5" x14ac:dyDescent="0.5">
      <c r="A1" s="14" t="s">
        <v>17</v>
      </c>
      <c r="E1" s="14" t="s">
        <v>53</v>
      </c>
    </row>
    <row r="2" spans="1:10" ht="17.25" customHeight="1" x14ac:dyDescent="0.25">
      <c r="A2" s="20" t="s">
        <v>34</v>
      </c>
    </row>
    <row r="3" spans="1:10" ht="21" x14ac:dyDescent="0.35">
      <c r="A3" s="15" t="s">
        <v>15</v>
      </c>
      <c r="B3" s="16"/>
      <c r="F3" s="15" t="s">
        <v>45</v>
      </c>
      <c r="G3" s="15"/>
      <c r="H3" s="15" t="s">
        <v>48</v>
      </c>
      <c r="I3" s="15"/>
      <c r="J3" s="15" t="s">
        <v>47</v>
      </c>
    </row>
    <row r="4" spans="1:10" ht="21" x14ac:dyDescent="0.35">
      <c r="A4" s="19" t="s">
        <v>2</v>
      </c>
      <c r="B4" s="17">
        <v>44</v>
      </c>
      <c r="E4" s="16" t="s">
        <v>49</v>
      </c>
      <c r="F4" s="17">
        <v>21</v>
      </c>
      <c r="G4" s="16"/>
      <c r="H4" s="17">
        <v>27</v>
      </c>
      <c r="I4" s="16"/>
      <c r="J4" s="17">
        <v>30</v>
      </c>
    </row>
    <row r="5" spans="1:10" ht="21" x14ac:dyDescent="0.35">
      <c r="A5" s="19" t="s">
        <v>1</v>
      </c>
      <c r="B5" s="17">
        <v>38</v>
      </c>
      <c r="E5" s="16" t="s">
        <v>50</v>
      </c>
      <c r="F5" s="16">
        <f>B4-B11</f>
        <v>14.5</v>
      </c>
      <c r="G5" s="16"/>
      <c r="H5" s="16">
        <f>B10-B9</f>
        <v>13.799999999999997</v>
      </c>
      <c r="I5" s="16"/>
      <c r="J5" s="16">
        <f>B4-B12</f>
        <v>7.3999999999999986</v>
      </c>
    </row>
    <row r="6" spans="1:10" ht="21" x14ac:dyDescent="0.35">
      <c r="A6" s="19" t="s">
        <v>46</v>
      </c>
      <c r="B6" s="115">
        <f>PI()*(B5/2)*(B5/2)*B4/1000</f>
        <v>49.901057709620268</v>
      </c>
      <c r="E6" s="16" t="s">
        <v>51</v>
      </c>
      <c r="F6" s="103">
        <f>F4*F5</f>
        <v>304.5</v>
      </c>
      <c r="G6" s="16"/>
      <c r="H6" s="103">
        <f>H4*H5</f>
        <v>372.59999999999991</v>
      </c>
      <c r="I6" s="16"/>
      <c r="J6" s="103">
        <f>J4*J5</f>
        <v>221.99999999999994</v>
      </c>
    </row>
    <row r="7" spans="1:10" ht="21" x14ac:dyDescent="0.35">
      <c r="A7" s="19" t="s">
        <v>25</v>
      </c>
      <c r="B7" s="17">
        <v>54</v>
      </c>
      <c r="E7" s="16" t="s">
        <v>41</v>
      </c>
      <c r="F7" s="16">
        <v>6500</v>
      </c>
      <c r="G7" s="16"/>
      <c r="H7" s="16"/>
      <c r="I7" s="16"/>
      <c r="J7" s="16"/>
    </row>
    <row r="8" spans="1:10" ht="21" x14ac:dyDescent="0.35">
      <c r="A8" s="19" t="s">
        <v>26</v>
      </c>
      <c r="B8" s="17">
        <v>100</v>
      </c>
      <c r="E8" s="16"/>
      <c r="F8" s="16"/>
      <c r="G8" s="16"/>
      <c r="H8" s="16"/>
      <c r="I8" s="16"/>
      <c r="J8" s="16"/>
    </row>
    <row r="9" spans="1:10" ht="21" x14ac:dyDescent="0.35">
      <c r="A9" s="19" t="s">
        <v>52</v>
      </c>
      <c r="B9" s="17">
        <v>54</v>
      </c>
      <c r="E9" s="16" t="s">
        <v>43</v>
      </c>
      <c r="F9" s="16">
        <f>(F6/100*70)/100</f>
        <v>2.1315</v>
      </c>
      <c r="G9" s="16"/>
      <c r="H9" s="16">
        <f>(H6/100*65)/100</f>
        <v>2.4218999999999995</v>
      </c>
      <c r="I9" s="16"/>
      <c r="J9" s="16">
        <f>(J6/100*75)/100</f>
        <v>1.6649999999999994</v>
      </c>
    </row>
    <row r="10" spans="1:10" ht="21" x14ac:dyDescent="0.35">
      <c r="A10" s="19" t="s">
        <v>27</v>
      </c>
      <c r="B10" s="17">
        <v>67.8</v>
      </c>
      <c r="E10" s="16" t="s">
        <v>42</v>
      </c>
      <c r="F10" s="16">
        <f>B16/(F7*6)</f>
        <v>3.9159270715450716E-3</v>
      </c>
      <c r="G10" s="16"/>
      <c r="H10" s="16">
        <f>B15/(F7*6)</f>
        <v>3.2100333533014317E-3</v>
      </c>
      <c r="I10" s="16"/>
      <c r="J10" s="16">
        <f>B17/(F7*6)</f>
        <v>2.7555036868913618E-3</v>
      </c>
    </row>
    <row r="11" spans="1:10" ht="21" x14ac:dyDescent="0.35">
      <c r="A11" s="19" t="s">
        <v>28</v>
      </c>
      <c r="B11" s="17">
        <v>29.5</v>
      </c>
      <c r="F11" s="16"/>
      <c r="G11" s="16"/>
      <c r="H11" s="16"/>
      <c r="I11" s="16"/>
      <c r="J11" s="16"/>
    </row>
    <row r="12" spans="1:10" ht="17.25" customHeight="1" x14ac:dyDescent="0.35">
      <c r="A12" s="19" t="s">
        <v>29</v>
      </c>
      <c r="B12" s="17">
        <v>36.6</v>
      </c>
      <c r="E12" s="30" t="s">
        <v>44</v>
      </c>
      <c r="F12" s="102">
        <f>(F9/B6)*F10</f>
        <v>1.6726696659556309E-4</v>
      </c>
      <c r="G12" s="31"/>
      <c r="H12" s="102">
        <f>(H9/B6)*H10</f>
        <v>1.5579589161417588E-4</v>
      </c>
      <c r="I12" s="32"/>
      <c r="J12" s="102">
        <f>(J9/B6)*J10</f>
        <v>9.1940208269165129E-5</v>
      </c>
    </row>
    <row r="13" spans="1:10" ht="21" x14ac:dyDescent="0.35">
      <c r="A13" s="16"/>
      <c r="B13" s="18"/>
      <c r="E13" s="30"/>
      <c r="F13" s="31"/>
      <c r="G13" s="31"/>
      <c r="H13" s="31"/>
      <c r="I13" s="33"/>
      <c r="J13" s="31"/>
    </row>
    <row r="14" spans="1:10" ht="21" x14ac:dyDescent="0.35">
      <c r="A14" s="15" t="s">
        <v>16</v>
      </c>
      <c r="B14" s="16"/>
      <c r="E14" s="34" t="s">
        <v>59</v>
      </c>
      <c r="F14" s="34" t="s">
        <v>56</v>
      </c>
      <c r="G14" s="34"/>
      <c r="H14" s="34"/>
    </row>
    <row r="15" spans="1:10" ht="21" x14ac:dyDescent="0.35">
      <c r="A15" s="98" t="s">
        <v>32</v>
      </c>
      <c r="B15" s="99">
        <f>ACOS(B23)*180/PI()*2</f>
        <v>125.19130077875583</v>
      </c>
      <c r="C15" s="100" t="s">
        <v>33</v>
      </c>
      <c r="E15" s="34" t="s">
        <v>60</v>
      </c>
      <c r="F15" s="34" t="s">
        <v>54</v>
      </c>
      <c r="G15" s="34"/>
      <c r="H15" s="34"/>
    </row>
    <row r="16" spans="1:10" ht="21" x14ac:dyDescent="0.35">
      <c r="A16" s="98" t="s">
        <v>30</v>
      </c>
      <c r="B16" s="101">
        <f>360-(B25*180/PI()*2)</f>
        <v>152.7211557902578</v>
      </c>
      <c r="C16" s="100" t="s">
        <v>33</v>
      </c>
      <c r="E16" s="34" t="s">
        <v>61</v>
      </c>
      <c r="F16" s="34" t="s">
        <v>55</v>
      </c>
      <c r="G16" s="34"/>
      <c r="H16" s="34"/>
    </row>
    <row r="17" spans="1:8" ht="21" x14ac:dyDescent="0.35">
      <c r="A17" s="98" t="s">
        <v>31</v>
      </c>
      <c r="B17" s="101">
        <f>360-(B27*180/PI()*2)</f>
        <v>107.46464378876311</v>
      </c>
      <c r="C17" s="100" t="s">
        <v>33</v>
      </c>
      <c r="E17" s="34" t="s">
        <v>57</v>
      </c>
      <c r="F17" s="34" t="s">
        <v>58</v>
      </c>
      <c r="G17" s="34"/>
      <c r="H17" s="34"/>
    </row>
    <row r="19" spans="1:8" ht="18.75" x14ac:dyDescent="0.3">
      <c r="A19" s="13" t="s">
        <v>14</v>
      </c>
      <c r="B19" s="12"/>
      <c r="E19" s="127" t="s">
        <v>62</v>
      </c>
      <c r="F19" s="128"/>
      <c r="G19" s="128"/>
      <c r="H19" s="128"/>
    </row>
    <row r="20" spans="1:8" ht="18.75" x14ac:dyDescent="0.3">
      <c r="A20" s="3" t="s">
        <v>13</v>
      </c>
      <c r="B20" s="5">
        <f>B4/2</f>
        <v>22</v>
      </c>
      <c r="E20" s="128"/>
      <c r="F20" s="128"/>
      <c r="G20" s="128"/>
      <c r="H20" s="128"/>
    </row>
    <row r="21" spans="1:8" ht="18" customHeight="1" x14ac:dyDescent="0.3">
      <c r="A21" s="3" t="s">
        <v>18</v>
      </c>
      <c r="B21" s="5">
        <f>B10-B7</f>
        <v>13.799999999999997</v>
      </c>
      <c r="E21" s="128"/>
      <c r="F21" s="128"/>
      <c r="G21" s="128"/>
      <c r="H21" s="128"/>
    </row>
    <row r="22" spans="1:8" ht="18" customHeight="1" x14ac:dyDescent="0.3">
      <c r="A22" s="3" t="s">
        <v>19</v>
      </c>
      <c r="B22" s="5">
        <f>B20/B8</f>
        <v>0.22</v>
      </c>
    </row>
    <row r="23" spans="1:8" ht="18.75" x14ac:dyDescent="0.3">
      <c r="A23" s="3" t="s">
        <v>20</v>
      </c>
      <c r="B23" s="5">
        <f>((2*B22*B20*B20+B22*B21*B21+2*B20*B20-2*B20*B21-2*B22*B20*B21)/(2*B22*B20*B20+2*B20*B20-2*B22*B20*B21))</f>
        <v>0.46026718198622107</v>
      </c>
    </row>
    <row r="24" spans="1:8" ht="18.75" x14ac:dyDescent="0.3">
      <c r="A24" s="3" t="s">
        <v>21</v>
      </c>
      <c r="B24" s="5">
        <f>(2*B22*B20*B20+B22*B11*B11+2*B20*B20-2*B20*B11-2*B22*B20*B11)/(2*B22*B20*B20+2*B20*B20-2*B22*B20*B11)</f>
        <v>-0.23581081081081082</v>
      </c>
    </row>
    <row r="25" spans="1:8" ht="18.75" x14ac:dyDescent="0.3">
      <c r="A25" s="3" t="s">
        <v>22</v>
      </c>
      <c r="B25" s="5">
        <f>ACOS(B24)</f>
        <v>1.8088491505941926</v>
      </c>
    </row>
    <row r="26" spans="1:8" ht="18.75" x14ac:dyDescent="0.3">
      <c r="A26" s="3" t="s">
        <v>23</v>
      </c>
      <c r="B26" s="5">
        <f>(2*B22*B20*B20+B22*B12*B12+2*B20*B20-2*B20*B12-2*B22*B20*B12)/(2*B22*B20*B20+2*B20*B20-2*B22*B20*B12)</f>
        <v>-0.59155844155844173</v>
      </c>
    </row>
    <row r="27" spans="1:8" ht="18.75" x14ac:dyDescent="0.3">
      <c r="A27" s="3" t="s">
        <v>24</v>
      </c>
      <c r="B27" s="5">
        <f>ACOS(B26)</f>
        <v>2.2037867217913982</v>
      </c>
    </row>
  </sheetData>
  <sheetProtection selectLockedCells="1"/>
  <mergeCells count="1">
    <mergeCell ref="E19:H21"/>
  </mergeCells>
  <phoneticPr fontId="10" type="noConversion"/>
  <hyperlinks>
    <hyperlink ref="A2" r:id="rId1"/>
  </hyperlinks>
  <pageMargins left="0.7" right="0.7" top="0.78740157499999996" bottom="0.78740157499999996" header="0.3" footer="0.3"/>
  <pageSetup paperSize="9" orientation="landscape" verticalDpi="300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H7" sqref="H7"/>
    </sheetView>
  </sheetViews>
  <sheetFormatPr defaultRowHeight="15" x14ac:dyDescent="0.25"/>
  <cols>
    <col min="1" max="1" width="23.42578125" customWidth="1"/>
    <col min="2" max="2" width="13.140625" customWidth="1"/>
  </cols>
  <sheetData>
    <row r="1" spans="1:8" ht="31.5" x14ac:dyDescent="0.5">
      <c r="A1" s="14" t="s">
        <v>172</v>
      </c>
    </row>
    <row r="3" spans="1:8" ht="18.75" x14ac:dyDescent="0.3">
      <c r="A3" s="109" t="s">
        <v>1</v>
      </c>
      <c r="B3" s="110">
        <v>38</v>
      </c>
    </row>
    <row r="4" spans="1:8" ht="18.75" x14ac:dyDescent="0.3">
      <c r="A4" s="109" t="s">
        <v>2</v>
      </c>
      <c r="B4" s="110">
        <v>44</v>
      </c>
    </row>
    <row r="5" spans="1:8" ht="18.75" x14ac:dyDescent="0.3">
      <c r="A5" s="109" t="s">
        <v>164</v>
      </c>
      <c r="B5" s="110">
        <v>6500</v>
      </c>
    </row>
    <row r="6" spans="1:8" ht="18.75" x14ac:dyDescent="0.3">
      <c r="A6" s="109" t="s">
        <v>166</v>
      </c>
      <c r="B6" s="110">
        <v>0.85</v>
      </c>
    </row>
    <row r="7" spans="1:8" ht="18.75" x14ac:dyDescent="0.3">
      <c r="A7" s="109"/>
      <c r="B7" s="114"/>
    </row>
    <row r="8" spans="1:8" ht="18.75" x14ac:dyDescent="0.3">
      <c r="A8" s="109" t="s">
        <v>165</v>
      </c>
      <c r="B8" s="117">
        <f>((B3/2)*(B3/2)*PI()*B4)/1000</f>
        <v>49.901057709620268</v>
      </c>
    </row>
    <row r="9" spans="1:8" ht="18.75" x14ac:dyDescent="0.3">
      <c r="A9" s="109" t="s">
        <v>168</v>
      </c>
      <c r="B9" s="117">
        <f>SQRT((B8/1000)*B5)*B6</f>
        <v>15.308423898912787</v>
      </c>
    </row>
    <row r="10" spans="1:8" ht="18.75" x14ac:dyDescent="0.3">
      <c r="A10" s="109"/>
      <c r="B10" s="111"/>
    </row>
    <row r="11" spans="1:8" ht="18.75" x14ac:dyDescent="0.3">
      <c r="A11" s="109"/>
      <c r="B11" s="112"/>
    </row>
    <row r="12" spans="1:8" x14ac:dyDescent="0.25">
      <c r="A12" s="113" t="s">
        <v>167</v>
      </c>
      <c r="B12" s="113"/>
      <c r="C12" s="113"/>
      <c r="D12" s="113"/>
      <c r="E12" s="113"/>
      <c r="F12" s="113"/>
      <c r="G12" s="113"/>
      <c r="H12" s="113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D19" sqref="D19"/>
    </sheetView>
  </sheetViews>
  <sheetFormatPr defaultRowHeight="15" x14ac:dyDescent="0.25"/>
  <cols>
    <col min="1" max="1" width="22.140625" customWidth="1"/>
    <col min="4" max="4" width="36" customWidth="1"/>
    <col min="5" max="5" width="7.28515625" customWidth="1"/>
    <col min="6" max="6" width="4.140625" customWidth="1"/>
    <col min="7" max="7" width="7.28515625" customWidth="1"/>
    <col min="9" max="9" width="45" customWidth="1"/>
    <col min="12" max="12" width="9.140625" customWidth="1"/>
  </cols>
  <sheetData>
    <row r="1" spans="1:18" ht="31.5" x14ac:dyDescent="0.5">
      <c r="A1" s="14" t="s">
        <v>177</v>
      </c>
    </row>
    <row r="3" spans="1:18" ht="18.75" x14ac:dyDescent="0.3">
      <c r="A3" s="109" t="s">
        <v>178</v>
      </c>
      <c r="B3" s="110">
        <v>38</v>
      </c>
      <c r="C3" s="109"/>
      <c r="D3" s="109"/>
      <c r="E3" s="109"/>
      <c r="F3" s="109"/>
      <c r="G3" s="109"/>
      <c r="H3" s="109"/>
      <c r="I3" s="109"/>
      <c r="J3" s="109"/>
    </row>
    <row r="4" spans="1:18" ht="18.75" x14ac:dyDescent="0.3">
      <c r="A4" s="109"/>
      <c r="B4" s="109"/>
      <c r="C4" s="109"/>
      <c r="D4" s="109"/>
      <c r="E4" s="109"/>
      <c r="F4" s="109"/>
      <c r="G4" s="109"/>
      <c r="H4" s="109"/>
      <c r="I4" s="109"/>
      <c r="J4" s="109"/>
    </row>
    <row r="5" spans="1:18" ht="18.75" x14ac:dyDescent="0.3">
      <c r="A5" s="109" t="s">
        <v>170</v>
      </c>
      <c r="B5" s="117">
        <f>B3/100*60</f>
        <v>22.8</v>
      </c>
      <c r="C5" s="109"/>
      <c r="D5" s="109" t="s">
        <v>175</v>
      </c>
      <c r="E5" s="117">
        <f>B5*0.15</f>
        <v>3.42</v>
      </c>
      <c r="F5" s="118" t="s">
        <v>174</v>
      </c>
      <c r="G5" s="125">
        <f>B5*0.2</f>
        <v>4.5600000000000005</v>
      </c>
      <c r="H5" s="109"/>
      <c r="I5" s="109" t="s">
        <v>179</v>
      </c>
      <c r="J5" s="120">
        <f>2*B5</f>
        <v>45.6</v>
      </c>
    </row>
    <row r="6" spans="1:18" ht="18.75" x14ac:dyDescent="0.3">
      <c r="A6" s="109" t="s">
        <v>171</v>
      </c>
      <c r="B6" s="117">
        <f>B3/100*65</f>
        <v>24.7</v>
      </c>
      <c r="C6" s="109"/>
      <c r="D6" s="109" t="s">
        <v>175</v>
      </c>
      <c r="E6" s="117">
        <f>B6*0.22</f>
        <v>5.4340000000000002</v>
      </c>
      <c r="F6" s="118" t="s">
        <v>174</v>
      </c>
      <c r="G6" s="119">
        <f>B6*0.25</f>
        <v>6.1749999999999998</v>
      </c>
      <c r="H6" s="109"/>
      <c r="I6" s="109"/>
      <c r="J6" s="109"/>
    </row>
    <row r="7" spans="1:18" ht="18.75" x14ac:dyDescent="0.3">
      <c r="A7" s="109" t="s">
        <v>173</v>
      </c>
      <c r="B7" s="117">
        <f>B3/100*70</f>
        <v>26.6</v>
      </c>
      <c r="C7" s="109"/>
      <c r="D7" s="109" t="s">
        <v>175</v>
      </c>
      <c r="E7" s="117">
        <f>B7*0.28</f>
        <v>7.4480000000000013</v>
      </c>
      <c r="F7" s="120"/>
      <c r="G7" s="120"/>
      <c r="H7" s="109"/>
      <c r="I7" s="109" t="s">
        <v>179</v>
      </c>
      <c r="J7" s="120">
        <f>B3*0.75</f>
        <v>28.5</v>
      </c>
    </row>
    <row r="8" spans="1:18" ht="18.75" x14ac:dyDescent="0.3">
      <c r="A8" s="109"/>
      <c r="B8" s="109"/>
      <c r="C8" s="109"/>
      <c r="D8" s="109"/>
      <c r="E8" s="109"/>
      <c r="F8" s="109"/>
      <c r="G8" s="109"/>
      <c r="H8" s="109"/>
      <c r="I8" s="109"/>
      <c r="J8" s="109"/>
      <c r="N8" s="116"/>
      <c r="O8" s="116"/>
      <c r="P8" s="116"/>
      <c r="Q8" s="116"/>
      <c r="R8" s="116"/>
    </row>
    <row r="9" spans="1:18" x14ac:dyDescent="0.25">
      <c r="A9" s="124" t="s">
        <v>180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3"/>
      <c r="P9" s="123"/>
      <c r="Q9" s="123"/>
      <c r="R9" s="123"/>
    </row>
    <row r="15" spans="1:18" ht="18.75" x14ac:dyDescent="0.3">
      <c r="A15" s="121" t="s">
        <v>169</v>
      </c>
    </row>
    <row r="16" spans="1:18" x14ac:dyDescent="0.25">
      <c r="A16" s="122" t="s">
        <v>176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16"/>
      <c r="N16" s="116"/>
    </row>
    <row r="17" spans="1:2" ht="18.75" x14ac:dyDescent="0.3">
      <c r="A17" s="109" t="s">
        <v>162</v>
      </c>
      <c r="B17" s="110">
        <v>14.1</v>
      </c>
    </row>
    <row r="18" spans="1:2" ht="18.75" x14ac:dyDescent="0.3">
      <c r="A18" s="109" t="s">
        <v>163</v>
      </c>
      <c r="B18" s="126">
        <f>SQRT((B3*B3)-(B17*B17))</f>
        <v>35.28724982199661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"/>
  <sheetViews>
    <sheetView workbookViewId="0">
      <selection activeCell="A4" sqref="A4"/>
    </sheetView>
  </sheetViews>
  <sheetFormatPr defaultRowHeight="15" x14ac:dyDescent="0.25"/>
  <cols>
    <col min="1" max="1" width="50.5703125" customWidth="1"/>
    <col min="2" max="2" width="14.7109375" customWidth="1"/>
    <col min="5" max="5" width="17.85546875" customWidth="1"/>
    <col min="6" max="9" width="12.7109375" customWidth="1"/>
  </cols>
  <sheetData>
    <row r="1" spans="1:7" ht="31.5" x14ac:dyDescent="0.5">
      <c r="A1" s="14" t="s">
        <v>63</v>
      </c>
    </row>
    <row r="2" spans="1:7" x14ac:dyDescent="0.25">
      <c r="A2" s="20" t="s">
        <v>34</v>
      </c>
    </row>
    <row r="3" spans="1:7" ht="73.5" customHeight="1" x14ac:dyDescent="0.25">
      <c r="A3" s="140" t="s">
        <v>181</v>
      </c>
      <c r="B3" s="141"/>
      <c r="C3" s="141"/>
      <c r="D3" s="141"/>
      <c r="E3" s="141"/>
    </row>
    <row r="5" spans="1:7" x14ac:dyDescent="0.25">
      <c r="A5" s="35" t="s">
        <v>64</v>
      </c>
      <c r="B5" s="35">
        <v>165</v>
      </c>
      <c r="C5" s="35" t="s">
        <v>33</v>
      </c>
    </row>
    <row r="6" spans="1:7" x14ac:dyDescent="0.25">
      <c r="A6" t="s">
        <v>65</v>
      </c>
      <c r="B6">
        <v>4318</v>
      </c>
      <c r="C6" t="s">
        <v>66</v>
      </c>
    </row>
    <row r="7" spans="1:7" x14ac:dyDescent="0.25">
      <c r="A7" s="35" t="s">
        <v>67</v>
      </c>
      <c r="B7" s="35">
        <v>9500</v>
      </c>
      <c r="C7" s="35" t="s">
        <v>68</v>
      </c>
    </row>
    <row r="9" spans="1:7" x14ac:dyDescent="0.25">
      <c r="A9" s="36" t="s">
        <v>69</v>
      </c>
      <c r="B9" s="37">
        <f>(B5*B6)/B7*10</f>
        <v>749.96842105263158</v>
      </c>
      <c r="C9" s="37" t="s">
        <v>70</v>
      </c>
    </row>
    <row r="12" spans="1:7" x14ac:dyDescent="0.25">
      <c r="A12" s="35" t="s">
        <v>71</v>
      </c>
      <c r="B12" s="38">
        <v>410</v>
      </c>
      <c r="C12" s="35" t="s">
        <v>72</v>
      </c>
    </row>
    <row r="13" spans="1:7" x14ac:dyDescent="0.25">
      <c r="B13" s="39">
        <f>B12/PI()</f>
        <v>130.50705333535419</v>
      </c>
    </row>
    <row r="14" spans="1:7" ht="15.75" thickBot="1" x14ac:dyDescent="0.3">
      <c r="A14" s="95" t="s">
        <v>73</v>
      </c>
      <c r="B14" s="96">
        <f>SQRT(B13)*2*1.1</f>
        <v>25.132730415597791</v>
      </c>
      <c r="C14" s="95" t="s">
        <v>70</v>
      </c>
      <c r="D14" s="42" t="s">
        <v>74</v>
      </c>
      <c r="E14" s="43" t="s">
        <v>75</v>
      </c>
      <c r="F14" s="43"/>
    </row>
    <row r="15" spans="1:7" ht="15.75" thickBot="1" x14ac:dyDescent="0.3">
      <c r="A15" s="44" t="s">
        <v>76</v>
      </c>
      <c r="B15" s="39">
        <f>SQRT(B13)*2*1.12</f>
        <v>25.589689150426842</v>
      </c>
      <c r="C15" t="s">
        <v>70</v>
      </c>
      <c r="E15" s="45" t="s">
        <v>77</v>
      </c>
      <c r="F15" s="129" t="s">
        <v>78</v>
      </c>
      <c r="G15" s="130"/>
    </row>
    <row r="16" spans="1:7" x14ac:dyDescent="0.25">
      <c r="A16" s="44" t="s">
        <v>79</v>
      </c>
      <c r="B16" s="39">
        <f>SQRT(B13)*2*1.15</f>
        <v>26.275127252670416</v>
      </c>
      <c r="E16" s="46">
        <v>50</v>
      </c>
      <c r="F16" s="47" t="s">
        <v>80</v>
      </c>
      <c r="G16" s="48"/>
    </row>
    <row r="17" spans="1:9" x14ac:dyDescent="0.25">
      <c r="E17" s="49" t="s">
        <v>81</v>
      </c>
      <c r="F17" s="50" t="s">
        <v>82</v>
      </c>
      <c r="G17" s="51"/>
    </row>
    <row r="18" spans="1:9" x14ac:dyDescent="0.25">
      <c r="A18" t="s">
        <v>83</v>
      </c>
      <c r="B18" s="39">
        <f>POWER(B14,2)*6.25</f>
        <v>3947.8383633944645</v>
      </c>
      <c r="E18" s="52">
        <v>100</v>
      </c>
      <c r="F18" s="53" t="s">
        <v>84</v>
      </c>
      <c r="G18" s="54"/>
    </row>
    <row r="19" spans="1:9" x14ac:dyDescent="0.25">
      <c r="A19" t="s">
        <v>85</v>
      </c>
      <c r="B19" s="39">
        <f>POWER(B15,2)*6.25</f>
        <v>4092.7011925967081</v>
      </c>
      <c r="E19" s="52">
        <v>125</v>
      </c>
      <c r="F19" s="50" t="s">
        <v>86</v>
      </c>
      <c r="G19" s="51"/>
    </row>
    <row r="20" spans="1:9" x14ac:dyDescent="0.25">
      <c r="A20" s="40" t="s">
        <v>87</v>
      </c>
      <c r="B20" s="41">
        <f>SQRT(B18)</f>
        <v>62.831826038994478</v>
      </c>
      <c r="C20" s="40" t="s">
        <v>70</v>
      </c>
      <c r="E20" s="52">
        <v>175</v>
      </c>
      <c r="F20" s="53" t="s">
        <v>88</v>
      </c>
      <c r="G20" s="54"/>
    </row>
    <row r="21" spans="1:9" x14ac:dyDescent="0.25">
      <c r="A21" t="s">
        <v>89</v>
      </c>
      <c r="B21" s="39">
        <f>SQRT(B19)</f>
        <v>63.97422287606711</v>
      </c>
      <c r="C21" t="s">
        <v>70</v>
      </c>
      <c r="E21" s="52">
        <v>250</v>
      </c>
      <c r="F21" s="50" t="s">
        <v>90</v>
      </c>
      <c r="G21" s="51"/>
    </row>
    <row r="22" spans="1:9" ht="15.75" thickBot="1" x14ac:dyDescent="0.3">
      <c r="E22" s="55" t="s">
        <v>91</v>
      </c>
      <c r="F22" s="56" t="s">
        <v>92</v>
      </c>
      <c r="G22" s="57"/>
    </row>
    <row r="24" spans="1:9" ht="15.75" thickBot="1" x14ac:dyDescent="0.3">
      <c r="A24" s="35" t="s">
        <v>93</v>
      </c>
      <c r="B24" s="35">
        <v>10</v>
      </c>
      <c r="C24" s="35"/>
      <c r="D24" s="42" t="s">
        <v>74</v>
      </c>
      <c r="E24" s="43" t="s">
        <v>94</v>
      </c>
      <c r="F24" s="43"/>
      <c r="G24" s="43"/>
    </row>
    <row r="25" spans="1:9" ht="15.75" thickBot="1" x14ac:dyDescent="0.3">
      <c r="E25" s="58"/>
      <c r="F25" s="131" t="s">
        <v>95</v>
      </c>
      <c r="G25" s="132"/>
      <c r="H25" s="129" t="s">
        <v>96</v>
      </c>
      <c r="I25" s="130"/>
    </row>
    <row r="26" spans="1:9" ht="15.75" thickBot="1" x14ac:dyDescent="0.3">
      <c r="A26" s="40" t="s">
        <v>97</v>
      </c>
      <c r="B26" s="40">
        <f>B14*B24</f>
        <v>251.32730415597791</v>
      </c>
      <c r="C26" s="40" t="s">
        <v>70</v>
      </c>
      <c r="E26" s="59" t="s">
        <v>98</v>
      </c>
      <c r="F26" s="45" t="s">
        <v>99</v>
      </c>
      <c r="G26" s="60" t="s">
        <v>100</v>
      </c>
      <c r="H26" s="60" t="s">
        <v>99</v>
      </c>
      <c r="I26" s="61" t="s">
        <v>100</v>
      </c>
    </row>
    <row r="27" spans="1:9" x14ac:dyDescent="0.25">
      <c r="E27" s="62" t="s">
        <v>101</v>
      </c>
      <c r="F27" s="63" t="s">
        <v>102</v>
      </c>
      <c r="G27" s="64" t="s">
        <v>103</v>
      </c>
      <c r="H27" s="64" t="s">
        <v>104</v>
      </c>
      <c r="I27" s="65" t="s">
        <v>102</v>
      </c>
    </row>
    <row r="28" spans="1:9" x14ac:dyDescent="0.25">
      <c r="E28" s="66" t="s">
        <v>105</v>
      </c>
      <c r="F28" s="67" t="s">
        <v>106</v>
      </c>
      <c r="G28" s="68" t="s">
        <v>107</v>
      </c>
      <c r="H28" s="68" t="s">
        <v>106</v>
      </c>
      <c r="I28" s="69" t="s">
        <v>107</v>
      </c>
    </row>
    <row r="29" spans="1:9" x14ac:dyDescent="0.25">
      <c r="E29" s="66" t="s">
        <v>108</v>
      </c>
      <c r="F29" s="67" t="s">
        <v>109</v>
      </c>
      <c r="G29" s="68" t="s">
        <v>107</v>
      </c>
      <c r="H29" s="70" t="s">
        <v>103</v>
      </c>
      <c r="I29" s="69" t="s">
        <v>110</v>
      </c>
    </row>
    <row r="30" spans="1:9" ht="15.75" thickBot="1" x14ac:dyDescent="0.3">
      <c r="E30" s="71" t="s">
        <v>91</v>
      </c>
      <c r="F30" s="72" t="s">
        <v>111</v>
      </c>
      <c r="G30" s="73" t="s">
        <v>111</v>
      </c>
      <c r="H30" s="74" t="s">
        <v>102</v>
      </c>
      <c r="I30" s="75" t="s">
        <v>112</v>
      </c>
    </row>
    <row r="32" spans="1:9" ht="15.75" thickBot="1" x14ac:dyDescent="0.3">
      <c r="A32" s="35" t="s">
        <v>113</v>
      </c>
      <c r="B32" s="35">
        <v>6</v>
      </c>
      <c r="C32" s="76" t="s">
        <v>33</v>
      </c>
      <c r="D32" s="42" t="s">
        <v>74</v>
      </c>
      <c r="E32" s="77" t="s">
        <v>114</v>
      </c>
    </row>
    <row r="33" spans="1:10" ht="15.75" thickBot="1" x14ac:dyDescent="0.3">
      <c r="A33" t="s">
        <v>115</v>
      </c>
      <c r="B33">
        <f>RADIANS(B32)</f>
        <v>0.10471975511965978</v>
      </c>
      <c r="E33" s="78"/>
      <c r="F33" s="131" t="s">
        <v>116</v>
      </c>
      <c r="G33" s="133"/>
      <c r="H33" s="132"/>
      <c r="I33" s="129" t="s">
        <v>117</v>
      </c>
      <c r="J33" s="130"/>
    </row>
    <row r="34" spans="1:10" ht="15.75" thickBot="1" x14ac:dyDescent="0.3">
      <c r="A34" t="s">
        <v>118</v>
      </c>
      <c r="B34">
        <f>TAN(B33)</f>
        <v>0.10510423526567647</v>
      </c>
      <c r="E34" s="58" t="s">
        <v>119</v>
      </c>
      <c r="F34" s="79" t="s">
        <v>120</v>
      </c>
      <c r="G34" s="60" t="s">
        <v>121</v>
      </c>
      <c r="H34" s="60" t="s">
        <v>122</v>
      </c>
      <c r="I34" s="60" t="s">
        <v>99</v>
      </c>
      <c r="J34" s="61" t="s">
        <v>121</v>
      </c>
    </row>
    <row r="35" spans="1:10" x14ac:dyDescent="0.25">
      <c r="A35" t="s">
        <v>123</v>
      </c>
      <c r="B35">
        <f>1/B34</f>
        <v>9.5143644542225836</v>
      </c>
      <c r="E35" s="80" t="s">
        <v>101</v>
      </c>
      <c r="F35" s="81" t="s">
        <v>124</v>
      </c>
      <c r="G35" s="82" t="s">
        <v>125</v>
      </c>
      <c r="H35" s="83" t="s">
        <v>126</v>
      </c>
      <c r="I35" s="82" t="s">
        <v>127</v>
      </c>
      <c r="J35" s="65" t="s">
        <v>128</v>
      </c>
    </row>
    <row r="36" spans="1:10" x14ac:dyDescent="0.25">
      <c r="A36" s="97" t="s">
        <v>129</v>
      </c>
      <c r="B36" s="97">
        <f>((B20-B14)/2)*B35</f>
        <v>179.3414676777918</v>
      </c>
      <c r="C36" s="97" t="s">
        <v>70</v>
      </c>
      <c r="E36" s="84" t="s">
        <v>105</v>
      </c>
      <c r="F36" s="85" t="s">
        <v>130</v>
      </c>
      <c r="G36" s="68" t="s">
        <v>131</v>
      </c>
      <c r="H36" s="86" t="s">
        <v>132</v>
      </c>
      <c r="I36" s="68" t="s">
        <v>133</v>
      </c>
      <c r="J36" s="69" t="s">
        <v>134</v>
      </c>
    </row>
    <row r="37" spans="1:10" x14ac:dyDescent="0.25">
      <c r="E37" s="84">
        <v>175</v>
      </c>
      <c r="F37" s="85" t="s">
        <v>130</v>
      </c>
      <c r="G37" s="68" t="s">
        <v>125</v>
      </c>
      <c r="H37" s="68" t="s">
        <v>135</v>
      </c>
      <c r="I37" s="68" t="s">
        <v>136</v>
      </c>
      <c r="J37" s="69" t="s">
        <v>137</v>
      </c>
    </row>
    <row r="38" spans="1:10" x14ac:dyDescent="0.25">
      <c r="E38" s="84">
        <v>250</v>
      </c>
      <c r="F38" s="85" t="s">
        <v>138</v>
      </c>
      <c r="G38" s="68" t="s">
        <v>125</v>
      </c>
      <c r="H38" s="68" t="s">
        <v>139</v>
      </c>
      <c r="I38" s="68" t="s">
        <v>140</v>
      </c>
      <c r="J38" s="69" t="s">
        <v>141</v>
      </c>
    </row>
    <row r="39" spans="1:10" ht="15.75" thickBot="1" x14ac:dyDescent="0.3">
      <c r="E39" s="87" t="s">
        <v>91</v>
      </c>
      <c r="F39" s="88" t="s">
        <v>111</v>
      </c>
      <c r="G39" s="73" t="s">
        <v>111</v>
      </c>
      <c r="H39" s="73" t="s">
        <v>111</v>
      </c>
      <c r="I39" s="74" t="s">
        <v>142</v>
      </c>
      <c r="J39" s="75" t="s">
        <v>137</v>
      </c>
    </row>
    <row r="41" spans="1:10" ht="15.75" thickBot="1" x14ac:dyDescent="0.3">
      <c r="A41" s="35" t="s">
        <v>143</v>
      </c>
      <c r="B41" s="35">
        <v>12</v>
      </c>
      <c r="C41" s="35" t="s">
        <v>33</v>
      </c>
      <c r="D41" s="42" t="s">
        <v>74</v>
      </c>
      <c r="E41" s="43" t="s">
        <v>144</v>
      </c>
    </row>
    <row r="42" spans="1:10" ht="15.75" thickBot="1" x14ac:dyDescent="0.3">
      <c r="A42" t="s">
        <v>145</v>
      </c>
      <c r="B42">
        <f>RADIANS(B41)</f>
        <v>0.20943951023931956</v>
      </c>
      <c r="D42" s="36"/>
      <c r="E42" s="89" t="s">
        <v>119</v>
      </c>
      <c r="F42" s="45" t="s">
        <v>116</v>
      </c>
      <c r="G42" s="129" t="s">
        <v>117</v>
      </c>
      <c r="H42" s="130"/>
    </row>
    <row r="43" spans="1:10" x14ac:dyDescent="0.25">
      <c r="A43" t="s">
        <v>146</v>
      </c>
      <c r="B43">
        <f>TAN(B42)</f>
        <v>0.21255656167002213</v>
      </c>
      <c r="E43" s="90" t="s">
        <v>101</v>
      </c>
      <c r="F43" s="91" t="s">
        <v>147</v>
      </c>
      <c r="G43" s="138" t="s">
        <v>102</v>
      </c>
      <c r="H43" s="139"/>
    </row>
    <row r="44" spans="1:10" x14ac:dyDescent="0.25">
      <c r="A44" t="s">
        <v>148</v>
      </c>
      <c r="B44">
        <f>1/B43</f>
        <v>4.7046301094784546</v>
      </c>
      <c r="E44" s="84">
        <v>100</v>
      </c>
      <c r="F44" s="92" t="s">
        <v>147</v>
      </c>
      <c r="G44" s="134" t="s">
        <v>103</v>
      </c>
      <c r="H44" s="135"/>
    </row>
    <row r="45" spans="1:10" x14ac:dyDescent="0.25">
      <c r="A45" s="93" t="s">
        <v>149</v>
      </c>
      <c r="B45" s="93">
        <f>(B20/2)*B44</f>
        <v>147.8002503082829</v>
      </c>
      <c r="C45" s="93" t="s">
        <v>70</v>
      </c>
      <c r="E45" s="84">
        <v>125</v>
      </c>
      <c r="F45" s="92" t="s">
        <v>150</v>
      </c>
      <c r="G45" s="134" t="s">
        <v>151</v>
      </c>
      <c r="H45" s="135"/>
    </row>
    <row r="46" spans="1:10" x14ac:dyDescent="0.25">
      <c r="A46" s="93"/>
      <c r="B46" s="93"/>
      <c r="C46" s="93"/>
      <c r="E46" s="84">
        <v>175</v>
      </c>
      <c r="F46" s="92" t="s">
        <v>152</v>
      </c>
      <c r="G46" s="134" t="s">
        <v>153</v>
      </c>
      <c r="H46" s="135"/>
    </row>
    <row r="47" spans="1:10" x14ac:dyDescent="0.25">
      <c r="A47" s="93"/>
      <c r="B47" s="93"/>
      <c r="C47" s="93"/>
      <c r="E47" s="84">
        <v>250</v>
      </c>
      <c r="F47" s="92" t="s">
        <v>152</v>
      </c>
      <c r="G47" s="134" t="s">
        <v>154</v>
      </c>
      <c r="H47" s="135"/>
    </row>
    <row r="48" spans="1:10" ht="15.75" thickBot="1" x14ac:dyDescent="0.3">
      <c r="E48" s="87" t="s">
        <v>91</v>
      </c>
      <c r="F48" s="94"/>
      <c r="G48" s="136" t="s">
        <v>155</v>
      </c>
      <c r="H48" s="137"/>
    </row>
    <row r="49" spans="1:3" x14ac:dyDescent="0.25">
      <c r="A49" s="44"/>
    </row>
    <row r="50" spans="1:3" x14ac:dyDescent="0.25">
      <c r="A50" s="35" t="s">
        <v>156</v>
      </c>
      <c r="B50" s="35">
        <v>0.56999999999999995</v>
      </c>
      <c r="C50" s="35"/>
    </row>
    <row r="51" spans="1:3" x14ac:dyDescent="0.25">
      <c r="A51" s="36" t="s">
        <v>157</v>
      </c>
      <c r="B51" s="36">
        <f>B14*B50</f>
        <v>14.32565633689074</v>
      </c>
      <c r="C51" s="36" t="s">
        <v>70</v>
      </c>
    </row>
    <row r="53" spans="1:3" x14ac:dyDescent="0.25">
      <c r="A53" s="97" t="s">
        <v>158</v>
      </c>
      <c r="B53" s="97">
        <f>((B20-B51)/2)*B44</f>
        <v>114.10179323799441</v>
      </c>
      <c r="C53" s="97" t="s">
        <v>70</v>
      </c>
    </row>
    <row r="55" spans="1:3" x14ac:dyDescent="0.25">
      <c r="A55" t="s">
        <v>159</v>
      </c>
      <c r="B55">
        <f>B9-(B45/2)</f>
        <v>676.06829589849008</v>
      </c>
    </row>
    <row r="57" spans="1:3" x14ac:dyDescent="0.25">
      <c r="A57" s="97" t="s">
        <v>160</v>
      </c>
      <c r="B57" s="97">
        <f>B55-(B26+B36)</f>
        <v>245.39952406472037</v>
      </c>
      <c r="C57" s="97" t="s">
        <v>70</v>
      </c>
    </row>
    <row r="59" spans="1:3" x14ac:dyDescent="0.25">
      <c r="A59" s="97" t="s">
        <v>161</v>
      </c>
      <c r="B59" s="97">
        <f>B51*12</f>
        <v>171.90787604268888</v>
      </c>
      <c r="C59" s="97" t="s">
        <v>70</v>
      </c>
    </row>
  </sheetData>
  <mergeCells count="13">
    <mergeCell ref="A3:E3"/>
    <mergeCell ref="G47:H47"/>
    <mergeCell ref="G48:H48"/>
    <mergeCell ref="G42:H42"/>
    <mergeCell ref="G43:H43"/>
    <mergeCell ref="G44:H44"/>
    <mergeCell ref="G45:H45"/>
    <mergeCell ref="G46:H46"/>
    <mergeCell ref="F15:G15"/>
    <mergeCell ref="F25:G25"/>
    <mergeCell ref="H25:I25"/>
    <mergeCell ref="F33:H33"/>
    <mergeCell ref="I33:J33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Úvod a návod</vt:lpstr>
      <vt:lpstr>Kompresní poměry</vt:lpstr>
      <vt:lpstr>Úhly otevření</vt:lpstr>
      <vt:lpstr>Karburátor</vt:lpstr>
      <vt:lpstr>Výfukový kanál</vt:lpstr>
      <vt:lpstr>Výpočet výfuku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Imlauf</dc:creator>
  <cp:lastModifiedBy>Marek Imlauf</cp:lastModifiedBy>
  <cp:lastPrinted>2014-09-25T07:07:10Z</cp:lastPrinted>
  <dcterms:created xsi:type="dcterms:W3CDTF">2014-09-25T04:14:24Z</dcterms:created>
  <dcterms:modified xsi:type="dcterms:W3CDTF">2015-09-23T10:16:21Z</dcterms:modified>
</cp:coreProperties>
</file>